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525" windowWidth="15120" windowHeight="7590" tabRatio="810"/>
  </bookViews>
  <sheets>
    <sheet name="Прайс от 01.03.2020" sheetId="87" r:id="rId1"/>
  </sheets>
  <calcPr calcId="125725" refMode="R1C1"/>
</workbook>
</file>

<file path=xl/calcChain.xml><?xml version="1.0" encoding="utf-8"?>
<calcChain xmlns="http://schemas.openxmlformats.org/spreadsheetml/2006/main">
  <c r="R7" i="87"/>
  <c r="R9"/>
  <c r="R11"/>
  <c r="R13"/>
  <c r="R16"/>
  <c r="R17"/>
  <c r="R18"/>
  <c r="R19"/>
  <c r="R20"/>
  <c r="R21"/>
  <c r="R22"/>
  <c r="R24"/>
  <c r="R25"/>
  <c r="R26"/>
  <c r="R27"/>
  <c r="R28"/>
  <c r="R29"/>
  <c r="R30"/>
  <c r="R31"/>
  <c r="R32"/>
  <c r="R33"/>
  <c r="R34"/>
  <c r="R35"/>
  <c r="R37"/>
  <c r="R38"/>
  <c r="R39"/>
  <c r="R41"/>
  <c r="S41" l="1"/>
  <c r="S35"/>
  <c r="S39"/>
  <c r="S38"/>
  <c r="S37"/>
  <c r="P39" l="1"/>
  <c r="Q39" s="1"/>
  <c r="L39"/>
  <c r="N39" s="1"/>
  <c r="K39"/>
  <c r="J39"/>
  <c r="P38"/>
  <c r="Q38" s="1"/>
  <c r="S25"/>
  <c r="S26"/>
  <c r="S27"/>
  <c r="S28"/>
  <c r="S29"/>
  <c r="S30"/>
  <c r="S31"/>
  <c r="S32"/>
  <c r="S33"/>
  <c r="S34"/>
  <c r="M39" l="1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53"/>
  <c r="S47"/>
  <c r="S48"/>
  <c r="S49"/>
  <c r="S50"/>
  <c r="S51"/>
  <c r="S46"/>
  <c r="S44"/>
  <c r="S43"/>
  <c r="S24"/>
  <c r="S17"/>
  <c r="S18"/>
  <c r="S19"/>
  <c r="S20"/>
  <c r="S21"/>
  <c r="S22"/>
  <c r="S16"/>
  <c r="S11"/>
  <c r="S13"/>
  <c r="S9"/>
  <c r="S7"/>
  <c r="K34" l="1"/>
  <c r="L34"/>
  <c r="P34"/>
  <c r="Q34" s="1"/>
  <c r="N34" l="1"/>
  <c r="F53" l="1"/>
  <c r="P32"/>
  <c r="Q32" s="1"/>
  <c r="L32"/>
  <c r="J32"/>
  <c r="P30"/>
  <c r="Q30" s="1"/>
  <c r="L30"/>
  <c r="K30"/>
  <c r="J30"/>
  <c r="P28"/>
  <c r="Q28" s="1"/>
  <c r="L28"/>
  <c r="K28"/>
  <c r="J28"/>
  <c r="P26"/>
  <c r="Q26" s="1"/>
  <c r="P22"/>
  <c r="Q22" s="1"/>
  <c r="L22"/>
  <c r="K22"/>
  <c r="P21"/>
  <c r="Q21" s="1"/>
  <c r="L21"/>
  <c r="J21"/>
  <c r="P20"/>
  <c r="Q20" s="1"/>
  <c r="L20"/>
  <c r="K20"/>
  <c r="J20"/>
  <c r="P19"/>
  <c r="Q19" s="1"/>
  <c r="L19"/>
  <c r="K19"/>
  <c r="J19"/>
  <c r="P18"/>
  <c r="Q18" s="1"/>
  <c r="L18"/>
  <c r="K18"/>
  <c r="J18"/>
  <c r="P17"/>
  <c r="Q17" s="1"/>
  <c r="L17"/>
  <c r="K17"/>
  <c r="J17"/>
  <c r="P16"/>
  <c r="Q16" s="1"/>
  <c r="N22" l="1"/>
  <c r="M28"/>
  <c r="M21"/>
  <c r="M30"/>
  <c r="M17"/>
  <c r="M18"/>
  <c r="M19"/>
  <c r="M20"/>
  <c r="N17"/>
  <c r="N18"/>
  <c r="N19"/>
  <c r="N20"/>
  <c r="N30"/>
  <c r="N28"/>
  <c r="M32"/>
</calcChain>
</file>

<file path=xl/sharedStrings.xml><?xml version="1.0" encoding="utf-8"?>
<sst xmlns="http://schemas.openxmlformats.org/spreadsheetml/2006/main" count="118" uniqueCount="101">
  <si>
    <t>№ п/п</t>
  </si>
  <si>
    <t>Наименование</t>
  </si>
  <si>
    <t>КАМА-12</t>
  </si>
  <si>
    <t>КАМА-15</t>
  </si>
  <si>
    <t>КАМА-18</t>
  </si>
  <si>
    <t>КАМА-21</t>
  </si>
  <si>
    <t>КАМА-24</t>
  </si>
  <si>
    <t>КАМА-27</t>
  </si>
  <si>
    <t>Граблина 050.505.18.00.0.08</t>
  </si>
  <si>
    <t>Стопор 050.505.18.00.0.07</t>
  </si>
  <si>
    <t>Нож 050.506.01.07.0.01</t>
  </si>
  <si>
    <t>Нож 050.506.01.07.0.02</t>
  </si>
  <si>
    <t>Винт 12х70 Din 7991</t>
  </si>
  <si>
    <t>Болт М16х140.88.16</t>
  </si>
  <si>
    <t>Гайка М16 пр. 6,8 Din 934</t>
  </si>
  <si>
    <t>Гайка М16 пр. 6,8 Din 6923</t>
  </si>
  <si>
    <t>Рессора 050.505.18.01.0.03</t>
  </si>
  <si>
    <t>Цена за ед. товара, в руб. без НДС</t>
  </si>
  <si>
    <t>Анитим</t>
  </si>
  <si>
    <t>Велес</t>
  </si>
  <si>
    <t>доставка</t>
  </si>
  <si>
    <t>Технотрон</t>
  </si>
  <si>
    <t>Казахстан</t>
  </si>
  <si>
    <t>Блок граблин 050.505.18.00.0.00</t>
  </si>
  <si>
    <t>Зуб в сборе 050.508.01.07.0.00 СБ</t>
  </si>
  <si>
    <t>Нож 050.506.01.07.0.02-01</t>
  </si>
  <si>
    <t>Нож центральный 050.508.01.07.3.00СБ</t>
  </si>
  <si>
    <t xml:space="preserve">Нож центральный 050.506.01.07.3.00СБ </t>
  </si>
  <si>
    <t>Опорное колесо 050.506.01.09.0.00 СБ</t>
  </si>
  <si>
    <t>Зуб в сборе 050.507.01.07.0.00 СБ</t>
  </si>
  <si>
    <t>Зуб в сборе 050.506.01.07.0.00 СБ</t>
  </si>
  <si>
    <t>Секция дополнительная 050.505.21.00.0.00</t>
  </si>
  <si>
    <t>Кронштейн боковой 050.508.02.03.0.00</t>
  </si>
  <si>
    <t>Талреп 050.508.02.05.0.00</t>
  </si>
  <si>
    <t>Нож 050.506.01.07.4.00 СБ</t>
  </si>
  <si>
    <t>Нож 050.506.01.07.4.00-01 СБ</t>
  </si>
  <si>
    <t>Комплект для навески категории 3</t>
  </si>
  <si>
    <t>Комплект для навески категории 4N</t>
  </si>
  <si>
    <t>Балка поперечная 050.505.05.00.0.00</t>
  </si>
  <si>
    <t>Блок колесный 050.508.06.00.0.00</t>
  </si>
  <si>
    <t xml:space="preserve">Общество с ограниченной ответственностью «Техника-Агро»
423831, Россия, Республика Татарстан, г.  Набережные Челны, проспект им.Вахитова, дом.44, офис 27
Тел. (8552) 20-20-71
E-mail: kama-agro@bk.ru
www.kammz.ru
</t>
  </si>
  <si>
    <t>Мощность трактора, л.с.</t>
  </si>
  <si>
    <t>Масса,       кг.</t>
  </si>
  <si>
    <t>60-130</t>
  </si>
  <si>
    <t>110-180</t>
  </si>
  <si>
    <t>320-450</t>
  </si>
  <si>
    <t>120-180</t>
  </si>
  <si>
    <t>150-225</t>
  </si>
  <si>
    <t>180-270</t>
  </si>
  <si>
    <t>210-315</t>
  </si>
  <si>
    <t>240-360</t>
  </si>
  <si>
    <t>270-405</t>
  </si>
  <si>
    <t>140-210</t>
  </si>
  <si>
    <t>220-330</t>
  </si>
  <si>
    <t>260-390</t>
  </si>
  <si>
    <t>300-450</t>
  </si>
  <si>
    <t>Начальник отдела СХТ                               _______________/Бакебаев Д.В./</t>
  </si>
  <si>
    <t>Розничный прайс-лист на сельхозтехнику "КАМА"</t>
  </si>
  <si>
    <t>Цена за ед. товара, в руб. с НДС 20%</t>
  </si>
  <si>
    <t>1. Глубокорыхлитель</t>
  </si>
  <si>
    <t>2. Тяжелая стерневая борона</t>
  </si>
  <si>
    <t>3. Сцепка зубовая гидрофицированная</t>
  </si>
  <si>
    <t>Директор ООО "Техника-Агро"                   _______________/Рафиков Д.Р./</t>
  </si>
  <si>
    <t>4. Средняя пружинная борона (зуб 10 мм.)</t>
  </si>
  <si>
    <t>5. Легкая борона (зуб 8 мм.)</t>
  </si>
  <si>
    <t>6. Тележка переходная</t>
  </si>
  <si>
    <t>7. Запчасти к тяжелым стерневым боронам</t>
  </si>
  <si>
    <t>8.  Запчасти к глубокорыхлителям</t>
  </si>
  <si>
    <t>110-130</t>
  </si>
  <si>
    <t>130-150</t>
  </si>
  <si>
    <t>150-180</t>
  </si>
  <si>
    <t>КАМА ТПУ-4000М (навешиваемое оборудование до 4 т., полу навесное до 6 т.)</t>
  </si>
  <si>
    <t>КАМА ТПУ-6000 (навешиваемое оборудование до 6 т., полу навесное до 9 т.)</t>
  </si>
  <si>
    <t>КАМА СЗГ-12 с БЗТС</t>
  </si>
  <si>
    <t>КАМА СЗГ-15 с БЗТС</t>
  </si>
  <si>
    <t>КАМА СЗГ-18 с БЗТС</t>
  </si>
  <si>
    <t>КАМА СЗГ-21 с БЗТС</t>
  </si>
  <si>
    <t>КАМА СЗГ-24 с БЗТС</t>
  </si>
  <si>
    <t>КАМА СЗГ-27 с БЗТС</t>
  </si>
  <si>
    <t>КАМА СП-15</t>
  </si>
  <si>
    <t>КАМА СП-18</t>
  </si>
  <si>
    <t>КАМА СП-24</t>
  </si>
  <si>
    <t>КАМА Штригель (ширина захвата 12 м.)</t>
  </si>
  <si>
    <t>КАМА-7,2 (под трактора МТЗ 80, МТЗ 82)</t>
  </si>
  <si>
    <t>КАМА СГ- 12 (гидрофицированная рама без рабочих органов БЗТС)</t>
  </si>
  <si>
    <t>КАМА СГ-15 (гидрофицированная рама без рабочих органов БЗТС)</t>
  </si>
  <si>
    <t>КАМА СГ-18 (гидрофицированная рама без рабочих органов БЗТС)</t>
  </si>
  <si>
    <t>КАМА СГ-21 (гидрофицированная рама без рабочих органов БЗТС)</t>
  </si>
  <si>
    <t>КАМА СГ-24 (гидрофицированная рама без рабочих органов БЗТС)</t>
  </si>
  <si>
    <t>КАМА СГ-27 (гидрофицированная рама без рабочих органов БЗТС)</t>
  </si>
  <si>
    <t>КАМА ТГР 45.5-250 (2,5 м., 5 рабочих органов)</t>
  </si>
  <si>
    <t>КАМА ТГР 55.7-300 (3 м., 7 рабочих органов)</t>
  </si>
  <si>
    <t>КАМА ТГР 55.9-400 (4 м., 9 рабочих органов)</t>
  </si>
  <si>
    <t>КАМА ТГР 55.11-500 (5 м., 11 рабочих органов)</t>
  </si>
  <si>
    <t>КАМА ТГР 45.5-250 без катков (2,5 м., 5 рабочих органов )</t>
  </si>
  <si>
    <t>КАМА ТГР 55.7-300 без катков (3 м., 7 рабочих органов)</t>
  </si>
  <si>
    <t>КАМА ТГР 55.9-400 без катков (4 м., 9 рабочих органов)</t>
  </si>
  <si>
    <t>КАМА ТГР 55.11-500 без катков (5 м., 11 рабочих органов)</t>
  </si>
  <si>
    <t>Гарантия на технику КАМА составляет 12 месяца со дня приобретения!</t>
  </si>
  <si>
    <t>Главный бухгалтер                                     _______________/Пашутина Ю.Н./</t>
  </si>
  <si>
    <t>от 01.03.2020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</si>
</sst>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/>
    <xf numFmtId="0" fontId="7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43" fontId="4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2" xfId="0" applyFont="1" applyBorder="1"/>
    <xf numFmtId="43" fontId="1" fillId="0" borderId="2" xfId="0" applyNumberFormat="1" applyFont="1" applyBorder="1"/>
    <xf numFmtId="4" fontId="4" fillId="0" borderId="2" xfId="0" applyNumberFormat="1" applyFont="1" applyBorder="1" applyAlignment="1">
      <alignment horizontal="center" vertical="center"/>
    </xf>
    <xf numFmtId="43" fontId="1" fillId="0" borderId="2" xfId="1" applyFont="1" applyBorder="1"/>
    <xf numFmtId="9" fontId="1" fillId="0" borderId="2" xfId="2" applyFont="1" applyBorder="1"/>
    <xf numFmtId="0" fontId="1" fillId="0" borderId="9" xfId="0" applyFont="1" applyBorder="1"/>
    <xf numFmtId="0" fontId="1" fillId="0" borderId="12" xfId="0" applyFont="1" applyBorder="1"/>
    <xf numFmtId="4" fontId="4" fillId="0" borderId="4" xfId="0" applyNumberFormat="1" applyFont="1" applyBorder="1" applyAlignment="1">
      <alignment horizontal="center" vertical="center"/>
    </xf>
    <xf numFmtId="43" fontId="1" fillId="0" borderId="3" xfId="0" applyNumberFormat="1" applyFont="1" applyBorder="1"/>
    <xf numFmtId="4" fontId="4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/>
    <xf numFmtId="9" fontId="1" fillId="0" borderId="3" xfId="2" applyFont="1" applyBorder="1"/>
    <xf numFmtId="0" fontId="1" fillId="0" borderId="1" xfId="0" applyFont="1" applyBorder="1"/>
    <xf numFmtId="43" fontId="1" fillId="0" borderId="4" xfId="1" applyFont="1" applyBorder="1"/>
    <xf numFmtId="43" fontId="1" fillId="0" borderId="3" xfId="1" applyFont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2" xfId="0" applyNumberFormat="1" applyFont="1" applyBorder="1" applyAlignment="1">
      <alignment horizontal="center" vertical="center"/>
    </xf>
    <xf numFmtId="43" fontId="4" fillId="2" borderId="18" xfId="3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" fontId="4" fillId="2" borderId="1" xfId="3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4" fontId="4" fillId="0" borderId="9" xfId="0" applyNumberFormat="1" applyFont="1" applyBorder="1" applyAlignment="1">
      <alignment horizontal="center" vertical="center"/>
    </xf>
    <xf numFmtId="43" fontId="4" fillId="2" borderId="10" xfId="3" applyNumberFormat="1" applyFont="1" applyBorder="1" applyAlignment="1">
      <alignment horizontal="center" vertical="center"/>
    </xf>
    <xf numFmtId="43" fontId="4" fillId="2" borderId="24" xfId="3" applyNumberFormat="1" applyFont="1" applyBorder="1" applyAlignment="1">
      <alignment horizontal="center" vertical="center"/>
    </xf>
    <xf numFmtId="43" fontId="1" fillId="0" borderId="12" xfId="0" applyNumberFormat="1" applyFont="1" applyBorder="1"/>
    <xf numFmtId="9" fontId="1" fillId="0" borderId="12" xfId="2" applyFont="1" applyBorder="1"/>
    <xf numFmtId="4" fontId="4" fillId="0" borderId="12" xfId="0" applyNumberFormat="1" applyFont="1" applyBorder="1" applyAlignment="1">
      <alignment horizontal="center" vertical="center"/>
    </xf>
    <xf numFmtId="43" fontId="4" fillId="2" borderId="13" xfId="3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3" fontId="4" fillId="2" borderId="29" xfId="3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2" borderId="10" xfId="3" applyFont="1" applyBorder="1" applyAlignment="1">
      <alignment horizontal="center" vertical="center" wrapText="1"/>
    </xf>
    <xf numFmtId="0" fontId="4" fillId="2" borderId="13" xfId="3" applyFont="1" applyBorder="1" applyAlignment="1">
      <alignment horizontal="center" vertical="center" wrapText="1"/>
    </xf>
    <xf numFmtId="0" fontId="8" fillId="2" borderId="14" xfId="3" applyFont="1" applyBorder="1" applyAlignment="1">
      <alignment horizontal="center" vertical="center"/>
    </xf>
    <xf numFmtId="0" fontId="8" fillId="2" borderId="15" xfId="3" applyFont="1" applyBorder="1" applyAlignment="1">
      <alignment horizontal="center" vertical="center"/>
    </xf>
    <xf numFmtId="0" fontId="8" fillId="2" borderId="16" xfId="3" applyFont="1" applyBorder="1" applyAlignment="1">
      <alignment horizontal="center" vertical="center"/>
    </xf>
    <xf numFmtId="0" fontId="8" fillId="2" borderId="25" xfId="3" applyFont="1" applyBorder="1" applyAlignment="1">
      <alignment horizontal="center" vertical="center"/>
    </xf>
    <xf numFmtId="0" fontId="8" fillId="2" borderId="26" xfId="3" applyFont="1" applyBorder="1" applyAlignment="1">
      <alignment horizontal="center" vertical="center"/>
    </xf>
    <xf numFmtId="0" fontId="8" fillId="2" borderId="27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2" borderId="5" xfId="3" applyFont="1" applyBorder="1" applyAlignment="1">
      <alignment horizontal="center" vertical="center"/>
    </xf>
    <xf numFmtId="0" fontId="8" fillId="2" borderId="6" xfId="3" applyFont="1" applyBorder="1" applyAlignment="1">
      <alignment vertical="center"/>
    </xf>
    <xf numFmtId="0" fontId="8" fillId="2" borderId="7" xfId="3" applyFont="1" applyBorder="1" applyAlignment="1">
      <alignment vertical="center"/>
    </xf>
    <xf numFmtId="0" fontId="8" fillId="2" borderId="21" xfId="3" applyFont="1" applyBorder="1" applyAlignment="1">
      <alignment horizontal="center" vertical="center"/>
    </xf>
    <xf numFmtId="0" fontId="8" fillId="2" borderId="22" xfId="3" applyFont="1" applyBorder="1" applyAlignment="1">
      <alignment horizontal="center" vertical="center"/>
    </xf>
    <xf numFmtId="0" fontId="8" fillId="2" borderId="23" xfId="3" applyFont="1" applyBorder="1" applyAlignment="1">
      <alignment horizontal="center" vertical="center"/>
    </xf>
  </cellXfs>
  <cellStyles count="4">
    <cellStyle name="40% - Акцент3" xfId="3" builtinId="39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247402</xdr:rowOff>
    </xdr:from>
    <xdr:to>
      <xdr:col>21</xdr:col>
      <xdr:colOff>235033</xdr:colOff>
      <xdr:row>0</xdr:row>
      <xdr:rowOff>1311233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38506" y="247402"/>
          <a:ext cx="2820391" cy="1063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77" zoomScaleNormal="77" workbookViewId="0">
      <selection activeCell="R4" sqref="R4:R5"/>
    </sheetView>
  </sheetViews>
  <sheetFormatPr defaultColWidth="9.140625" defaultRowHeight="15"/>
  <cols>
    <col min="1" max="1" width="8.7109375" style="1" customWidth="1"/>
    <col min="2" max="2" width="88.140625" style="1" customWidth="1"/>
    <col min="3" max="3" width="14.7109375" style="1" customWidth="1"/>
    <col min="4" max="4" width="11.85546875" style="1" customWidth="1"/>
    <col min="5" max="5" width="9.140625" style="1" hidden="1" customWidth="1"/>
    <col min="6" max="6" width="15.42578125" style="1" hidden="1" customWidth="1"/>
    <col min="7" max="7" width="9.140625" style="1" hidden="1" customWidth="1"/>
    <col min="8" max="8" width="14.42578125" style="1" hidden="1" customWidth="1"/>
    <col min="9" max="9" width="9.140625" style="1" hidden="1" customWidth="1"/>
    <col min="10" max="10" width="14.5703125" style="1" hidden="1" customWidth="1"/>
    <col min="11" max="11" width="15" style="1" hidden="1" customWidth="1"/>
    <col min="12" max="12" width="14.28515625" style="1" hidden="1" customWidth="1"/>
    <col min="13" max="13" width="9.85546875" style="1" hidden="1" customWidth="1"/>
    <col min="14" max="15" width="9.140625" style="1" hidden="1" customWidth="1"/>
    <col min="16" max="16" width="14.85546875" style="1" hidden="1" customWidth="1"/>
    <col min="17" max="17" width="0.85546875" style="1" hidden="1" customWidth="1"/>
    <col min="18" max="18" width="1.42578125" style="1" hidden="1" customWidth="1"/>
    <col min="19" max="19" width="20.5703125" style="1" customWidth="1"/>
    <col min="20" max="21" width="9.140625" style="1" customWidth="1"/>
    <col min="22" max="23" width="9.140625" style="1"/>
    <col min="24" max="24" width="8.85546875" style="1" customWidth="1"/>
    <col min="25" max="25" width="0.5703125" style="1" hidden="1" customWidth="1"/>
    <col min="26" max="16384" width="9.140625" style="1"/>
  </cols>
  <sheetData>
    <row r="1" spans="1:25" ht="111" customHeight="1">
      <c r="A1" s="69" t="s">
        <v>40</v>
      </c>
      <c r="B1" s="69"/>
      <c r="C1" s="69"/>
      <c r="D1" s="6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35.2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6"/>
      <c r="T2" s="6"/>
      <c r="U2" s="6"/>
      <c r="V2" s="6"/>
    </row>
    <row r="3" spans="1:25" ht="35.25" customHeight="1" thickBot="1">
      <c r="A3" s="79" t="s">
        <v>100</v>
      </c>
      <c r="B3" s="79"/>
      <c r="C3" s="79"/>
      <c r="D3" s="79"/>
    </row>
    <row r="4" spans="1:25" ht="14.45" customHeight="1">
      <c r="A4" s="82" t="s">
        <v>0</v>
      </c>
      <c r="B4" s="80" t="s">
        <v>1</v>
      </c>
      <c r="C4" s="80" t="s">
        <v>41</v>
      </c>
      <c r="D4" s="80" t="s">
        <v>42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84" t="s">
        <v>17</v>
      </c>
      <c r="S4" s="70" t="s">
        <v>58</v>
      </c>
    </row>
    <row r="5" spans="1:25" ht="61.9" customHeight="1" thickBot="1">
      <c r="A5" s="83"/>
      <c r="B5" s="81"/>
      <c r="C5" s="81"/>
      <c r="D5" s="8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85"/>
      <c r="S5" s="71"/>
    </row>
    <row r="6" spans="1:25" ht="19.5" thickBot="1">
      <c r="A6" s="72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Y6" s="1">
        <v>0.97</v>
      </c>
    </row>
    <row r="7" spans="1:25" ht="18.75">
      <c r="A7" s="37">
        <v>1</v>
      </c>
      <c r="B7" s="8" t="s">
        <v>90</v>
      </c>
      <c r="C7" s="9" t="s">
        <v>43</v>
      </c>
      <c r="D7" s="10">
        <v>1180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9">
        <f>Y17/Y6</f>
        <v>298134.48453608248</v>
      </c>
      <c r="S7" s="43">
        <f>R7*1.2</f>
        <v>357761.38144329895</v>
      </c>
    </row>
    <row r="8" spans="1:25" ht="18.75">
      <c r="A8" s="37">
        <v>2</v>
      </c>
      <c r="B8" s="8" t="s">
        <v>94</v>
      </c>
      <c r="C8" s="9" t="s">
        <v>43</v>
      </c>
      <c r="D8" s="10">
        <v>938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4">
        <v>281065.05</v>
      </c>
      <c r="S8" s="43">
        <v>337278.06</v>
      </c>
    </row>
    <row r="9" spans="1:25" ht="18.75">
      <c r="A9" s="38">
        <v>3</v>
      </c>
      <c r="B9" s="3" t="s">
        <v>91</v>
      </c>
      <c r="C9" s="11" t="s">
        <v>44</v>
      </c>
      <c r="D9" s="12">
        <v>1770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29">
        <f>Y18/Y6</f>
        <v>420494.84536082478</v>
      </c>
      <c r="S9" s="43">
        <f>R9*1.2</f>
        <v>504593.81443298969</v>
      </c>
    </row>
    <row r="10" spans="1:25" ht="18.75">
      <c r="A10" s="38">
        <v>4</v>
      </c>
      <c r="B10" s="3" t="s">
        <v>95</v>
      </c>
      <c r="C10" s="11" t="s">
        <v>44</v>
      </c>
      <c r="D10" s="12">
        <v>1480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9">
        <v>411377.58</v>
      </c>
      <c r="S10" s="43">
        <v>493653.1</v>
      </c>
    </row>
    <row r="11" spans="1:25" ht="18.75">
      <c r="A11" s="38">
        <v>5</v>
      </c>
      <c r="B11" s="3" t="s">
        <v>92</v>
      </c>
      <c r="C11" s="11">
        <v>300</v>
      </c>
      <c r="D11" s="12">
        <v>3040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29">
        <f>Y19/Y6</f>
        <v>630848.45360824745</v>
      </c>
      <c r="S11" s="43">
        <f>R11*1.2</f>
        <v>757018.1443298969</v>
      </c>
    </row>
    <row r="12" spans="1:25" ht="18.75">
      <c r="A12" s="39">
        <v>6</v>
      </c>
      <c r="B12" s="3" t="s">
        <v>96</v>
      </c>
      <c r="C12" s="11">
        <v>300</v>
      </c>
      <c r="D12" s="15">
        <v>2307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29">
        <v>607595.22</v>
      </c>
      <c r="S12" s="43">
        <v>729114.26</v>
      </c>
    </row>
    <row r="13" spans="1:25" ht="18.75">
      <c r="A13" s="39">
        <v>7</v>
      </c>
      <c r="B13" s="13" t="s">
        <v>93</v>
      </c>
      <c r="C13" s="14" t="s">
        <v>45</v>
      </c>
      <c r="D13" s="15">
        <v>3700</v>
      </c>
      <c r="E13" s="46"/>
      <c r="F13" s="47">
        <v>115000</v>
      </c>
      <c r="G13" s="46" t="s">
        <v>20</v>
      </c>
      <c r="H13" s="47">
        <v>25000</v>
      </c>
      <c r="I13" s="46"/>
      <c r="J13" s="46"/>
      <c r="K13" s="46"/>
      <c r="L13" s="46"/>
      <c r="M13" s="46"/>
      <c r="N13" s="46"/>
      <c r="O13" s="46"/>
      <c r="P13" s="46"/>
      <c r="Q13" s="46"/>
      <c r="R13" s="29">
        <f>Y20/Y6</f>
        <v>734804.12371134025</v>
      </c>
      <c r="S13" s="43">
        <f>R13*1.2</f>
        <v>881764.94845360832</v>
      </c>
    </row>
    <row r="14" spans="1:25" ht="19.5" thickBot="1">
      <c r="A14" s="64">
        <v>8</v>
      </c>
      <c r="B14" s="3" t="s">
        <v>97</v>
      </c>
      <c r="C14" s="14" t="s">
        <v>45</v>
      </c>
      <c r="D14" s="18">
        <v>2778</v>
      </c>
      <c r="E14" s="65"/>
      <c r="F14" s="66"/>
      <c r="G14" s="65"/>
      <c r="H14" s="66"/>
      <c r="I14" s="65"/>
      <c r="J14" s="65"/>
      <c r="K14" s="65"/>
      <c r="L14" s="65"/>
      <c r="M14" s="65"/>
      <c r="N14" s="65"/>
      <c r="O14" s="65"/>
      <c r="P14" s="65"/>
      <c r="Q14" s="65"/>
      <c r="R14" s="67">
        <v>705516.98</v>
      </c>
      <c r="S14" s="68">
        <v>846620.38</v>
      </c>
    </row>
    <row r="15" spans="1:25" ht="19.5" thickBot="1">
      <c r="A15" s="72" t="s">
        <v>60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</row>
    <row r="16" spans="1:25" ht="18.75">
      <c r="A16" s="37">
        <v>1</v>
      </c>
      <c r="B16" s="8" t="s">
        <v>83</v>
      </c>
      <c r="C16" s="10">
        <v>80</v>
      </c>
      <c r="D16" s="10">
        <v>2100</v>
      </c>
      <c r="E16" s="7"/>
      <c r="F16" s="7" t="s">
        <v>18</v>
      </c>
      <c r="G16" s="7"/>
      <c r="H16" s="7" t="s">
        <v>19</v>
      </c>
      <c r="I16" s="7"/>
      <c r="J16" s="7" t="s">
        <v>18</v>
      </c>
      <c r="K16" s="7" t="s">
        <v>19</v>
      </c>
      <c r="L16" s="7" t="s">
        <v>21</v>
      </c>
      <c r="M16" s="7"/>
      <c r="N16" s="7"/>
      <c r="O16" s="7">
        <v>4</v>
      </c>
      <c r="P16" s="32">
        <f t="shared" ref="P16:P22" si="0">($C$47/2)*O16</f>
        <v>0</v>
      </c>
      <c r="Q16" s="32">
        <f t="shared" ref="Q16:Q22" si="1">C16-P16</f>
        <v>80</v>
      </c>
      <c r="R16" s="29">
        <f>531638.49*1.01</f>
        <v>536954.87490000005</v>
      </c>
      <c r="S16" s="43">
        <f t="shared" ref="S16:S22" si="2">R16*1.2</f>
        <v>644345.84987999999</v>
      </c>
    </row>
    <row r="17" spans="1:25" ht="18.75">
      <c r="A17" s="38">
        <v>2</v>
      </c>
      <c r="B17" s="3" t="s">
        <v>2</v>
      </c>
      <c r="C17" s="12" t="s">
        <v>46</v>
      </c>
      <c r="D17" s="12">
        <v>4354</v>
      </c>
      <c r="E17" s="22">
        <v>9</v>
      </c>
      <c r="F17" s="23">
        <v>568825</v>
      </c>
      <c r="G17" s="22">
        <v>9</v>
      </c>
      <c r="H17" s="23">
        <v>587000</v>
      </c>
      <c r="I17" s="22"/>
      <c r="J17" s="23">
        <f>F17+$H$13</f>
        <v>593825</v>
      </c>
      <c r="K17" s="23">
        <f>H17+$H$13</f>
        <v>612000</v>
      </c>
      <c r="L17" s="23">
        <f>C16+$F$13</f>
        <v>115080</v>
      </c>
      <c r="M17" s="26">
        <f>J17/L17-1</f>
        <v>4.1601060132082033</v>
      </c>
      <c r="N17" s="26">
        <f>K17/L17-1</f>
        <v>4.3180396246089678</v>
      </c>
      <c r="O17" s="22">
        <v>6</v>
      </c>
      <c r="P17" s="23">
        <f t="shared" si="0"/>
        <v>0</v>
      </c>
      <c r="Q17" s="23" t="e">
        <f t="shared" si="1"/>
        <v>#VALUE!</v>
      </c>
      <c r="R17" s="24">
        <f>944422.9*1.01</f>
        <v>953867.12900000007</v>
      </c>
      <c r="S17" s="43">
        <f t="shared" si="2"/>
        <v>1144640.5548</v>
      </c>
      <c r="Y17" s="29">
        <v>289190.45</v>
      </c>
    </row>
    <row r="18" spans="1:25" ht="18.75">
      <c r="A18" s="38">
        <v>3</v>
      </c>
      <c r="B18" s="3" t="s">
        <v>3</v>
      </c>
      <c r="C18" s="12" t="s">
        <v>47</v>
      </c>
      <c r="D18" s="12">
        <v>4994</v>
      </c>
      <c r="E18" s="22">
        <v>15</v>
      </c>
      <c r="F18" s="23">
        <v>1180362</v>
      </c>
      <c r="G18" s="22">
        <v>15</v>
      </c>
      <c r="H18" s="23">
        <v>1202000</v>
      </c>
      <c r="I18" s="22"/>
      <c r="J18" s="23">
        <f>F18+$H$13</f>
        <v>1205362</v>
      </c>
      <c r="K18" s="23">
        <f>H18+$H$13</f>
        <v>1227000</v>
      </c>
      <c r="L18" s="23" t="e">
        <f>C18+$F$13</f>
        <v>#VALUE!</v>
      </c>
      <c r="M18" s="26" t="e">
        <f>J18/L18-1</f>
        <v>#VALUE!</v>
      </c>
      <c r="N18" s="26" t="e">
        <f>K18/L18-1</f>
        <v>#VALUE!</v>
      </c>
      <c r="O18" s="22">
        <v>8</v>
      </c>
      <c r="P18" s="23">
        <f t="shared" si="0"/>
        <v>0</v>
      </c>
      <c r="Q18" s="23" t="e">
        <f t="shared" si="1"/>
        <v>#VALUE!</v>
      </c>
      <c r="R18" s="24">
        <f>1012634.49*1.01</f>
        <v>1022760.8349</v>
      </c>
      <c r="S18" s="43">
        <f t="shared" si="2"/>
        <v>1227313.0018799999</v>
      </c>
      <c r="Y18" s="24">
        <v>407880</v>
      </c>
    </row>
    <row r="19" spans="1:25" ht="18.75">
      <c r="A19" s="38">
        <v>4</v>
      </c>
      <c r="B19" s="3" t="s">
        <v>4</v>
      </c>
      <c r="C19" s="12" t="s">
        <v>48</v>
      </c>
      <c r="D19" s="12">
        <v>5520</v>
      </c>
      <c r="E19" s="22">
        <v>19</v>
      </c>
      <c r="F19" s="23">
        <v>1305906</v>
      </c>
      <c r="G19" s="22">
        <v>18</v>
      </c>
      <c r="H19" s="23">
        <v>1346000</v>
      </c>
      <c r="I19" s="22"/>
      <c r="J19" s="23">
        <f>F19+$H$13</f>
        <v>1330906</v>
      </c>
      <c r="K19" s="23">
        <f>H19+$H$13</f>
        <v>1371000</v>
      </c>
      <c r="L19" s="23" t="e">
        <f>C19+$F$13</f>
        <v>#VALUE!</v>
      </c>
      <c r="M19" s="26" t="e">
        <f>J19/L19-1</f>
        <v>#VALUE!</v>
      </c>
      <c r="N19" s="26" t="e">
        <f>K19/L19-1</f>
        <v>#VALUE!</v>
      </c>
      <c r="O19" s="22">
        <v>10</v>
      </c>
      <c r="P19" s="23">
        <f t="shared" si="0"/>
        <v>0</v>
      </c>
      <c r="Q19" s="23" t="e">
        <f t="shared" si="1"/>
        <v>#VALUE!</v>
      </c>
      <c r="R19" s="24">
        <f>1164519.66*1.01</f>
        <v>1176164.8565999998</v>
      </c>
      <c r="S19" s="43">
        <f t="shared" si="2"/>
        <v>1411397.8279199998</v>
      </c>
      <c r="Y19" s="24">
        <v>611923</v>
      </c>
    </row>
    <row r="20" spans="1:25" ht="18.75">
      <c r="A20" s="38">
        <v>5</v>
      </c>
      <c r="B20" s="3" t="s">
        <v>5</v>
      </c>
      <c r="C20" s="12" t="s">
        <v>49</v>
      </c>
      <c r="D20" s="12">
        <v>6320</v>
      </c>
      <c r="E20" s="22">
        <v>21</v>
      </c>
      <c r="F20" s="23">
        <v>1375414</v>
      </c>
      <c r="G20" s="22">
        <v>22</v>
      </c>
      <c r="H20" s="23">
        <v>1470000</v>
      </c>
      <c r="I20" s="22"/>
      <c r="J20" s="23">
        <f>F20+$H$13</f>
        <v>1400414</v>
      </c>
      <c r="K20" s="23">
        <f>H20+$H$13</f>
        <v>1495000</v>
      </c>
      <c r="L20" s="23" t="e">
        <f>C20+$F$13</f>
        <v>#VALUE!</v>
      </c>
      <c r="M20" s="26" t="e">
        <f>J20/L20-1</f>
        <v>#VALUE!</v>
      </c>
      <c r="N20" s="26" t="e">
        <f>K20/L20-1</f>
        <v>#VALUE!</v>
      </c>
      <c r="O20" s="22">
        <v>12</v>
      </c>
      <c r="P20" s="23">
        <f t="shared" si="0"/>
        <v>0</v>
      </c>
      <c r="Q20" s="23" t="e">
        <f t="shared" si="1"/>
        <v>#VALUE!</v>
      </c>
      <c r="R20" s="24">
        <f>1214926.81*1.01</f>
        <v>1227076.0781</v>
      </c>
      <c r="S20" s="43">
        <f t="shared" si="2"/>
        <v>1472491.29372</v>
      </c>
      <c r="Y20" s="31">
        <v>712760</v>
      </c>
    </row>
    <row r="21" spans="1:25" ht="18.75">
      <c r="A21" s="38">
        <v>6</v>
      </c>
      <c r="B21" s="3" t="s">
        <v>6</v>
      </c>
      <c r="C21" s="12" t="s">
        <v>50</v>
      </c>
      <c r="D21" s="12">
        <v>7900</v>
      </c>
      <c r="E21" s="22">
        <v>25</v>
      </c>
      <c r="F21" s="23">
        <v>1501916</v>
      </c>
      <c r="G21" s="22"/>
      <c r="H21" s="22"/>
      <c r="I21" s="22"/>
      <c r="J21" s="23">
        <f>F21+$H$13</f>
        <v>1526916</v>
      </c>
      <c r="K21" s="22"/>
      <c r="L21" s="23" t="e">
        <f>C21+$F$13</f>
        <v>#VALUE!</v>
      </c>
      <c r="M21" s="26" t="e">
        <f>J21/L21-1</f>
        <v>#VALUE!</v>
      </c>
      <c r="N21" s="26"/>
      <c r="O21" s="22">
        <v>14</v>
      </c>
      <c r="P21" s="23">
        <f t="shared" si="0"/>
        <v>0</v>
      </c>
      <c r="Q21" s="23" t="e">
        <f t="shared" si="1"/>
        <v>#VALUE!</v>
      </c>
      <c r="R21" s="24">
        <f>1360848.04*1.01</f>
        <v>1374456.5204</v>
      </c>
      <c r="S21" s="43">
        <f t="shared" si="2"/>
        <v>1649347.82448</v>
      </c>
      <c r="Y21" s="24"/>
    </row>
    <row r="22" spans="1:25" ht="19.5" thickBot="1">
      <c r="A22" s="39">
        <v>7</v>
      </c>
      <c r="B22" s="13" t="s">
        <v>7</v>
      </c>
      <c r="C22" s="15" t="s">
        <v>51</v>
      </c>
      <c r="D22" s="15">
        <v>8040</v>
      </c>
      <c r="E22" s="19"/>
      <c r="F22" s="19"/>
      <c r="G22" s="19">
        <v>26</v>
      </c>
      <c r="H22" s="30">
        <v>1611000</v>
      </c>
      <c r="I22" s="19"/>
      <c r="J22" s="19"/>
      <c r="K22" s="30">
        <f>H22+$H$13</f>
        <v>1636000</v>
      </c>
      <c r="L22" s="30" t="e">
        <f>C22+$F$13</f>
        <v>#VALUE!</v>
      </c>
      <c r="M22" s="19"/>
      <c r="N22" s="33" t="e">
        <f>K22/L22-1</f>
        <v>#VALUE!</v>
      </c>
      <c r="O22" s="19">
        <v>16</v>
      </c>
      <c r="P22" s="30">
        <f t="shared" si="0"/>
        <v>0</v>
      </c>
      <c r="Q22" s="30" t="e">
        <f t="shared" si="1"/>
        <v>#VALUE!</v>
      </c>
      <c r="R22" s="31">
        <f>1410644.81*1.01</f>
        <v>1424751.2581</v>
      </c>
      <c r="S22" s="43">
        <f t="shared" si="2"/>
        <v>1709701.50972</v>
      </c>
      <c r="Y22" s="24"/>
    </row>
    <row r="23" spans="1:25" ht="19.5" thickBot="1">
      <c r="A23" s="75" t="s">
        <v>61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Y23" s="31"/>
    </row>
    <row r="24" spans="1:25" ht="18.75">
      <c r="A24" s="49">
        <v>1</v>
      </c>
      <c r="B24" s="50" t="s">
        <v>73</v>
      </c>
      <c r="C24" s="51" t="s">
        <v>46</v>
      </c>
      <c r="D24" s="51">
        <v>4900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52"/>
      <c r="Q24" s="52"/>
      <c r="R24" s="53">
        <f>724700.79*1.01</f>
        <v>731947.79790000001</v>
      </c>
      <c r="S24" s="54">
        <f t="shared" ref="S24:S35" si="3">R24*1.2</f>
        <v>878337.35748000001</v>
      </c>
    </row>
    <row r="25" spans="1:25" ht="18.75">
      <c r="A25" s="38">
        <v>2</v>
      </c>
      <c r="B25" s="3" t="s">
        <v>84</v>
      </c>
      <c r="C25" s="12"/>
      <c r="D25" s="1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60"/>
      <c r="Q25" s="60"/>
      <c r="R25" s="24">
        <f>649283.78*1.01</f>
        <v>655776.61780000001</v>
      </c>
      <c r="S25" s="55">
        <f t="shared" si="3"/>
        <v>786931.94135999994</v>
      </c>
    </row>
    <row r="26" spans="1:25" ht="18.75">
      <c r="A26" s="38">
        <v>3</v>
      </c>
      <c r="B26" s="3" t="s">
        <v>74</v>
      </c>
      <c r="C26" s="12" t="s">
        <v>52</v>
      </c>
      <c r="D26" s="12">
        <v>5450</v>
      </c>
      <c r="E26" s="22"/>
      <c r="F26" s="22" t="s">
        <v>18</v>
      </c>
      <c r="G26" s="22"/>
      <c r="H26" s="22" t="s">
        <v>19</v>
      </c>
      <c r="I26" s="22"/>
      <c r="J26" s="22" t="s">
        <v>18</v>
      </c>
      <c r="K26" s="22" t="s">
        <v>19</v>
      </c>
      <c r="L26" s="22" t="s">
        <v>21</v>
      </c>
      <c r="M26" s="22"/>
      <c r="N26" s="22"/>
      <c r="O26" s="22">
        <v>4</v>
      </c>
      <c r="P26" s="23">
        <f>($C$47/2)*O26</f>
        <v>0</v>
      </c>
      <c r="Q26" s="23" t="e">
        <f>C26-P26</f>
        <v>#VALUE!</v>
      </c>
      <c r="R26" s="24">
        <f>846005.12*1.01</f>
        <v>854465.17119999998</v>
      </c>
      <c r="S26" s="55">
        <f t="shared" si="3"/>
        <v>1025358.2054399999</v>
      </c>
    </row>
    <row r="27" spans="1:25" ht="18.75">
      <c r="A27" s="38">
        <v>4</v>
      </c>
      <c r="B27" s="3" t="s">
        <v>85</v>
      </c>
      <c r="C27" s="12"/>
      <c r="D27" s="1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4">
        <f>758018.6*1.01</f>
        <v>765598.78599999996</v>
      </c>
      <c r="S27" s="55">
        <f t="shared" si="3"/>
        <v>918718.54319999996</v>
      </c>
    </row>
    <row r="28" spans="1:25" ht="18.75">
      <c r="A28" s="38">
        <v>5</v>
      </c>
      <c r="B28" s="3" t="s">
        <v>75</v>
      </c>
      <c r="C28" s="12" t="s">
        <v>48</v>
      </c>
      <c r="D28" s="12">
        <v>6400</v>
      </c>
      <c r="E28" s="22">
        <v>15</v>
      </c>
      <c r="F28" s="23">
        <v>1180362</v>
      </c>
      <c r="G28" s="22">
        <v>15</v>
      </c>
      <c r="H28" s="23">
        <v>1202000</v>
      </c>
      <c r="I28" s="22"/>
      <c r="J28" s="23">
        <f>F28+$H$13</f>
        <v>1205362</v>
      </c>
      <c r="K28" s="23">
        <f>H28+$H$13</f>
        <v>1227000</v>
      </c>
      <c r="L28" s="23" t="e">
        <f>C28+$F$13</f>
        <v>#VALUE!</v>
      </c>
      <c r="M28" s="26" t="e">
        <f>J28/L28-1</f>
        <v>#VALUE!</v>
      </c>
      <c r="N28" s="26" t="e">
        <f>K28/L28-1</f>
        <v>#VALUE!</v>
      </c>
      <c r="O28" s="22">
        <v>8</v>
      </c>
      <c r="P28" s="23">
        <f>($C$47/2)*O28</f>
        <v>0</v>
      </c>
      <c r="Q28" s="23" t="e">
        <f>C28-P28</f>
        <v>#VALUE!</v>
      </c>
      <c r="R28" s="24">
        <f>972232.41*1.01</f>
        <v>981954.7341</v>
      </c>
      <c r="S28" s="55">
        <f t="shared" si="3"/>
        <v>1178345.68092</v>
      </c>
    </row>
    <row r="29" spans="1:25" ht="18.75">
      <c r="A29" s="38">
        <v>6</v>
      </c>
      <c r="B29" s="3" t="s">
        <v>86</v>
      </c>
      <c r="C29" s="12"/>
      <c r="D29" s="12"/>
      <c r="E29" s="22"/>
      <c r="F29" s="23"/>
      <c r="G29" s="22"/>
      <c r="H29" s="23"/>
      <c r="I29" s="22"/>
      <c r="J29" s="23"/>
      <c r="K29" s="23"/>
      <c r="L29" s="23"/>
      <c r="M29" s="26"/>
      <c r="N29" s="26"/>
      <c r="O29" s="22"/>
      <c r="P29" s="23"/>
      <c r="Q29" s="23"/>
      <c r="R29" s="24">
        <f>859106.89*1.01</f>
        <v>867697.95889999997</v>
      </c>
      <c r="S29" s="55">
        <f t="shared" si="3"/>
        <v>1041237.5506799999</v>
      </c>
    </row>
    <row r="30" spans="1:25" ht="18.75">
      <c r="A30" s="38">
        <v>7</v>
      </c>
      <c r="B30" s="3" t="s">
        <v>76</v>
      </c>
      <c r="C30" s="12" t="s">
        <v>53</v>
      </c>
      <c r="D30" s="12">
        <v>7550</v>
      </c>
      <c r="E30" s="22">
        <v>21</v>
      </c>
      <c r="F30" s="23">
        <v>1375414</v>
      </c>
      <c r="G30" s="22">
        <v>22</v>
      </c>
      <c r="H30" s="23">
        <v>1470000</v>
      </c>
      <c r="I30" s="22"/>
      <c r="J30" s="23">
        <f>F30+$H$13</f>
        <v>1400414</v>
      </c>
      <c r="K30" s="23">
        <f>H30+$H$13</f>
        <v>1495000</v>
      </c>
      <c r="L30" s="23" t="e">
        <f>C30+$F$13</f>
        <v>#VALUE!</v>
      </c>
      <c r="M30" s="26" t="e">
        <f>J30/L30-1</f>
        <v>#VALUE!</v>
      </c>
      <c r="N30" s="26" t="e">
        <f>K30/L30-1</f>
        <v>#VALUE!</v>
      </c>
      <c r="O30" s="22">
        <v>12</v>
      </c>
      <c r="P30" s="23">
        <f>($C$47/2)*O30</f>
        <v>0</v>
      </c>
      <c r="Q30" s="23" t="e">
        <f>C30-P30</f>
        <v>#VALUE!</v>
      </c>
      <c r="R30" s="24">
        <f>1000270.89*1.01</f>
        <v>1010273.5989</v>
      </c>
      <c r="S30" s="55">
        <f t="shared" si="3"/>
        <v>1212328.31868</v>
      </c>
    </row>
    <row r="31" spans="1:25" ht="18.75">
      <c r="A31" s="38">
        <v>8</v>
      </c>
      <c r="B31" s="3" t="s">
        <v>87</v>
      </c>
      <c r="C31" s="12"/>
      <c r="D31" s="12"/>
      <c r="E31" s="22"/>
      <c r="F31" s="23"/>
      <c r="G31" s="22"/>
      <c r="H31" s="23"/>
      <c r="I31" s="22"/>
      <c r="J31" s="23"/>
      <c r="K31" s="23"/>
      <c r="L31" s="23"/>
      <c r="M31" s="26"/>
      <c r="N31" s="26"/>
      <c r="O31" s="22"/>
      <c r="P31" s="23"/>
      <c r="Q31" s="23"/>
      <c r="R31" s="24">
        <f>917626.37*1.01</f>
        <v>926802.63370000001</v>
      </c>
      <c r="S31" s="55">
        <f t="shared" si="3"/>
        <v>1112163.16044</v>
      </c>
    </row>
    <row r="32" spans="1:25" ht="18.75">
      <c r="A32" s="38">
        <v>9</v>
      </c>
      <c r="B32" s="3" t="s">
        <v>77</v>
      </c>
      <c r="C32" s="12" t="s">
        <v>54</v>
      </c>
      <c r="D32" s="12">
        <v>8650</v>
      </c>
      <c r="E32" s="22">
        <v>25</v>
      </c>
      <c r="F32" s="23">
        <v>1501916</v>
      </c>
      <c r="G32" s="22"/>
      <c r="H32" s="22"/>
      <c r="I32" s="22"/>
      <c r="J32" s="23">
        <f>F32+$H$13</f>
        <v>1526916</v>
      </c>
      <c r="K32" s="22"/>
      <c r="L32" s="23" t="e">
        <f>C32+$F$13</f>
        <v>#VALUE!</v>
      </c>
      <c r="M32" s="26" t="e">
        <f>J32/L32-1</f>
        <v>#VALUE!</v>
      </c>
      <c r="N32" s="26"/>
      <c r="O32" s="22">
        <v>14</v>
      </c>
      <c r="P32" s="23">
        <f>($C$47/2)*O32</f>
        <v>0</v>
      </c>
      <c r="Q32" s="23" t="e">
        <f>C32-P32</f>
        <v>#VALUE!</v>
      </c>
      <c r="R32" s="24">
        <f>1125380.86*1.01</f>
        <v>1136634.6686000002</v>
      </c>
      <c r="S32" s="55">
        <f t="shared" si="3"/>
        <v>1363961.6023200003</v>
      </c>
    </row>
    <row r="33" spans="1:19" ht="18.75">
      <c r="A33" s="38">
        <v>10</v>
      </c>
      <c r="B33" s="3" t="s">
        <v>88</v>
      </c>
      <c r="C33" s="12"/>
      <c r="D33" s="12"/>
      <c r="E33" s="22"/>
      <c r="F33" s="23"/>
      <c r="G33" s="22"/>
      <c r="H33" s="22"/>
      <c r="I33" s="22"/>
      <c r="J33" s="23"/>
      <c r="K33" s="22"/>
      <c r="L33" s="23"/>
      <c r="M33" s="26"/>
      <c r="N33" s="26"/>
      <c r="O33" s="22"/>
      <c r="P33" s="23"/>
      <c r="Q33" s="23"/>
      <c r="R33" s="24">
        <f>961977.34*1.01</f>
        <v>971597.11340000003</v>
      </c>
      <c r="S33" s="55">
        <f t="shared" si="3"/>
        <v>1165916.53608</v>
      </c>
    </row>
    <row r="34" spans="1:19" ht="18.75">
      <c r="A34" s="38">
        <v>11</v>
      </c>
      <c r="B34" s="3" t="s">
        <v>78</v>
      </c>
      <c r="C34" s="12" t="s">
        <v>55</v>
      </c>
      <c r="D34" s="12">
        <v>9300</v>
      </c>
      <c r="E34" s="22"/>
      <c r="F34" s="22"/>
      <c r="G34" s="22">
        <v>26</v>
      </c>
      <c r="H34" s="23">
        <v>1611000</v>
      </c>
      <c r="I34" s="22"/>
      <c r="J34" s="22"/>
      <c r="K34" s="23">
        <f>H34+$H$13</f>
        <v>1636000</v>
      </c>
      <c r="L34" s="23" t="e">
        <f>C34+$F$13</f>
        <v>#VALUE!</v>
      </c>
      <c r="M34" s="22"/>
      <c r="N34" s="26" t="e">
        <f>K34/L34-1</f>
        <v>#VALUE!</v>
      </c>
      <c r="O34" s="22">
        <v>16</v>
      </c>
      <c r="P34" s="23">
        <f>($C$47/2)*O34</f>
        <v>0</v>
      </c>
      <c r="Q34" s="23" t="e">
        <f>C34-P34</f>
        <v>#VALUE!</v>
      </c>
      <c r="R34" s="24">
        <f>1269580.33*1.01</f>
        <v>1282276.1333000001</v>
      </c>
      <c r="S34" s="55">
        <f t="shared" si="3"/>
        <v>1538731.35996</v>
      </c>
    </row>
    <row r="35" spans="1:19" ht="19.5" thickBot="1">
      <c r="A35" s="40">
        <v>12</v>
      </c>
      <c r="B35" s="41" t="s">
        <v>89</v>
      </c>
      <c r="C35" s="42"/>
      <c r="D35" s="42"/>
      <c r="E35" s="28"/>
      <c r="F35" s="28"/>
      <c r="G35" s="28"/>
      <c r="H35" s="56"/>
      <c r="I35" s="28"/>
      <c r="J35" s="28"/>
      <c r="K35" s="56"/>
      <c r="L35" s="56"/>
      <c r="M35" s="28"/>
      <c r="N35" s="57"/>
      <c r="O35" s="28"/>
      <c r="P35" s="56"/>
      <c r="Q35" s="56"/>
      <c r="R35" s="58">
        <f>1093607.3*1.01</f>
        <v>1104543.3730000001</v>
      </c>
      <c r="S35" s="59">
        <f t="shared" si="3"/>
        <v>1325452.0476000002</v>
      </c>
    </row>
    <row r="36" spans="1:19" ht="19.5" thickBot="1">
      <c r="A36" s="72" t="s">
        <v>63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</row>
    <row r="37" spans="1:19" ht="18.75">
      <c r="A37" s="37">
        <v>1</v>
      </c>
      <c r="B37" s="8" t="s">
        <v>79</v>
      </c>
      <c r="C37" s="10" t="s">
        <v>68</v>
      </c>
      <c r="D37" s="10">
        <v>2600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1"/>
      <c r="Q37" s="61"/>
      <c r="R37" s="29">
        <f>490200*1.01</f>
        <v>495102</v>
      </c>
      <c r="S37" s="43">
        <f>R37*1.2</f>
        <v>594122.4</v>
      </c>
    </row>
    <row r="38" spans="1:19" ht="18.75">
      <c r="A38" s="38">
        <v>1</v>
      </c>
      <c r="B38" s="3" t="s">
        <v>80</v>
      </c>
      <c r="C38" s="12" t="s">
        <v>69</v>
      </c>
      <c r="D38" s="12">
        <v>3050</v>
      </c>
      <c r="E38" s="22"/>
      <c r="F38" s="22" t="s">
        <v>18</v>
      </c>
      <c r="G38" s="22"/>
      <c r="H38" s="22" t="s">
        <v>19</v>
      </c>
      <c r="I38" s="22"/>
      <c r="J38" s="22" t="s">
        <v>18</v>
      </c>
      <c r="K38" s="22" t="s">
        <v>19</v>
      </c>
      <c r="L38" s="22" t="s">
        <v>21</v>
      </c>
      <c r="M38" s="22"/>
      <c r="N38" s="22"/>
      <c r="O38" s="22">
        <v>4</v>
      </c>
      <c r="P38" s="23">
        <f>($C$41/2)*O38</f>
        <v>160</v>
      </c>
      <c r="Q38" s="23" t="e">
        <f>C38-P38</f>
        <v>#VALUE!</v>
      </c>
      <c r="R38" s="24">
        <f>596130*1.01</f>
        <v>602091.30000000005</v>
      </c>
      <c r="S38" s="43">
        <f>R38*1.2</f>
        <v>722509.56</v>
      </c>
    </row>
    <row r="39" spans="1:19" ht="18.75">
      <c r="A39" s="38">
        <v>3</v>
      </c>
      <c r="B39" s="3" t="s">
        <v>81</v>
      </c>
      <c r="C39" s="12" t="s">
        <v>70</v>
      </c>
      <c r="D39" s="12">
        <v>4150</v>
      </c>
      <c r="E39" s="22">
        <v>15</v>
      </c>
      <c r="F39" s="23">
        <v>1180362</v>
      </c>
      <c r="G39" s="22">
        <v>15</v>
      </c>
      <c r="H39" s="23">
        <v>1202000</v>
      </c>
      <c r="I39" s="22"/>
      <c r="J39" s="23">
        <f>F39+$H$13</f>
        <v>1205362</v>
      </c>
      <c r="K39" s="23">
        <f>H39+$H$13</f>
        <v>1227000</v>
      </c>
      <c r="L39" s="23" t="e">
        <f>C39+$F$13</f>
        <v>#VALUE!</v>
      </c>
      <c r="M39" s="26" t="e">
        <f>J39/L39-1</f>
        <v>#VALUE!</v>
      </c>
      <c r="N39" s="26" t="e">
        <f>K39/L39-1</f>
        <v>#VALUE!</v>
      </c>
      <c r="O39" s="22">
        <v>8</v>
      </c>
      <c r="P39" s="23">
        <f>($C$41/2)*O39</f>
        <v>320</v>
      </c>
      <c r="Q39" s="23" t="e">
        <f>C39-P39</f>
        <v>#VALUE!</v>
      </c>
      <c r="R39" s="24">
        <f>634448.79*1.01</f>
        <v>640793.27789999999</v>
      </c>
      <c r="S39" s="43">
        <f>R39*1.2</f>
        <v>768951.93348000001</v>
      </c>
    </row>
    <row r="40" spans="1:19" ht="19.5" thickBot="1">
      <c r="A40" s="89" t="s">
        <v>64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</row>
    <row r="41" spans="1:19" ht="19.5" thickBot="1">
      <c r="A41" s="16">
        <v>1</v>
      </c>
      <c r="B41" s="17" t="s">
        <v>82</v>
      </c>
      <c r="C41" s="18">
        <v>80</v>
      </c>
      <c r="D41" s="18">
        <v>1550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20">
        <f>494847.06*1.01</f>
        <v>499795.5306</v>
      </c>
      <c r="S41" s="48">
        <f>R41*1.2</f>
        <v>599754.63671999995</v>
      </c>
    </row>
    <row r="42" spans="1:19" ht="19.5" thickBot="1">
      <c r="A42" s="72" t="s">
        <v>65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</row>
    <row r="43" spans="1:19" ht="37.5">
      <c r="A43" s="37">
        <v>1</v>
      </c>
      <c r="B43" s="62" t="s">
        <v>71</v>
      </c>
      <c r="C43" s="7"/>
      <c r="D43" s="10">
        <v>1700</v>
      </c>
      <c r="E43" s="7"/>
      <c r="F43" s="35">
        <v>1348420.46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9">
        <v>471149.01</v>
      </c>
      <c r="S43" s="43">
        <f>R43*1.2</f>
        <v>565378.81200000003</v>
      </c>
    </row>
    <row r="44" spans="1:19" ht="38.25" thickBot="1">
      <c r="A44" s="39">
        <v>2</v>
      </c>
      <c r="B44" s="63" t="s">
        <v>72</v>
      </c>
      <c r="C44" s="19"/>
      <c r="D44" s="15">
        <v>2800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1">
        <v>594289.66</v>
      </c>
      <c r="S44" s="43">
        <f>R44*1.2</f>
        <v>713147.59200000006</v>
      </c>
    </row>
    <row r="45" spans="1:19" ht="19.5" thickBot="1">
      <c r="A45" s="72" t="s">
        <v>66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4"/>
    </row>
    <row r="46" spans="1:19" ht="18.75">
      <c r="A46" s="37">
        <v>1</v>
      </c>
      <c r="B46" s="8" t="s">
        <v>8</v>
      </c>
      <c r="C46" s="10"/>
      <c r="D46" s="10">
        <v>5.2</v>
      </c>
      <c r="E46" s="7"/>
      <c r="F46" s="35">
        <v>2104738.96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9">
        <v>1440.68</v>
      </c>
      <c r="S46" s="43">
        <f t="shared" ref="S46:S51" si="4">R46*1.2</f>
        <v>1728.816</v>
      </c>
    </row>
    <row r="47" spans="1:19" ht="18.75">
      <c r="A47" s="38">
        <v>2</v>
      </c>
      <c r="B47" s="3" t="s">
        <v>23</v>
      </c>
      <c r="C47" s="12"/>
      <c r="D47" s="12">
        <v>264</v>
      </c>
      <c r="E47" s="22"/>
      <c r="F47" s="25">
        <v>1217820.5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4">
        <v>65549.279999999999</v>
      </c>
      <c r="S47" s="43">
        <f t="shared" si="4"/>
        <v>78659.135999999999</v>
      </c>
    </row>
    <row r="48" spans="1:19" ht="18.75">
      <c r="A48" s="38">
        <v>3</v>
      </c>
      <c r="B48" s="3" t="s">
        <v>16</v>
      </c>
      <c r="C48" s="12"/>
      <c r="D48" s="12">
        <v>12</v>
      </c>
      <c r="E48" s="22"/>
      <c r="F48" s="25">
        <v>1098052.54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4">
        <v>2562.89</v>
      </c>
      <c r="S48" s="43">
        <f t="shared" si="4"/>
        <v>3075.4679999999998</v>
      </c>
    </row>
    <row r="49" spans="1:19" ht="18.75">
      <c r="A49" s="38">
        <v>4</v>
      </c>
      <c r="B49" s="3" t="s">
        <v>31</v>
      </c>
      <c r="C49" s="12"/>
      <c r="D49" s="12">
        <v>93</v>
      </c>
      <c r="E49" s="22"/>
      <c r="F49" s="25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4">
        <v>20223.78</v>
      </c>
      <c r="S49" s="43">
        <f t="shared" si="4"/>
        <v>24268.535999999996</v>
      </c>
    </row>
    <row r="50" spans="1:19" ht="18.75">
      <c r="A50" s="38">
        <v>5</v>
      </c>
      <c r="B50" s="3" t="s">
        <v>38</v>
      </c>
      <c r="C50" s="12"/>
      <c r="D50" s="12"/>
      <c r="E50" s="22"/>
      <c r="F50" s="25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4">
        <v>56888.4</v>
      </c>
      <c r="S50" s="43">
        <f t="shared" si="4"/>
        <v>68266.080000000002</v>
      </c>
    </row>
    <row r="51" spans="1:19" ht="19.5" thickBot="1">
      <c r="A51" s="39">
        <v>6</v>
      </c>
      <c r="B51" s="13" t="s">
        <v>9</v>
      </c>
      <c r="C51" s="15"/>
      <c r="D51" s="15"/>
      <c r="E51" s="19"/>
      <c r="F51" s="36">
        <v>1098052.54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5">
        <v>227.39</v>
      </c>
      <c r="S51" s="43">
        <f t="shared" si="4"/>
        <v>272.86799999999999</v>
      </c>
    </row>
    <row r="52" spans="1:19" ht="19.5" thickBot="1">
      <c r="A52" s="86" t="s">
        <v>67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18.75">
      <c r="A53" s="37">
        <v>1</v>
      </c>
      <c r="B53" s="8" t="s">
        <v>10</v>
      </c>
      <c r="C53" s="10"/>
      <c r="D53" s="10">
        <v>4.3</v>
      </c>
      <c r="E53" s="7"/>
      <c r="F53" s="32">
        <f>SUM(F43:F52)</f>
        <v>6867085</v>
      </c>
      <c r="G53" s="7" t="s">
        <v>22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29">
        <v>1618.4</v>
      </c>
      <c r="S53" s="43">
        <f t="shared" ref="S53:S72" si="5">R53*1.2</f>
        <v>1942.08</v>
      </c>
    </row>
    <row r="54" spans="1:19" ht="18.75">
      <c r="A54" s="38">
        <v>2</v>
      </c>
      <c r="B54" s="3" t="s">
        <v>34</v>
      </c>
      <c r="C54" s="12"/>
      <c r="D54" s="12">
        <v>6</v>
      </c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4">
        <v>2256.58</v>
      </c>
      <c r="S54" s="43">
        <f t="shared" si="5"/>
        <v>2707.8959999999997</v>
      </c>
    </row>
    <row r="55" spans="1:19" ht="18.75">
      <c r="A55" s="38">
        <v>3</v>
      </c>
      <c r="B55" s="3" t="s">
        <v>35</v>
      </c>
      <c r="C55" s="12"/>
      <c r="D55" s="12">
        <v>6</v>
      </c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4">
        <v>2256.58</v>
      </c>
      <c r="S55" s="43">
        <f t="shared" si="5"/>
        <v>2707.8959999999997</v>
      </c>
    </row>
    <row r="56" spans="1:19" ht="18.75">
      <c r="A56" s="38">
        <v>4</v>
      </c>
      <c r="B56" s="3" t="s">
        <v>11</v>
      </c>
      <c r="C56" s="12"/>
      <c r="D56" s="12">
        <v>2.2000000000000002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2">
        <v>817.47</v>
      </c>
      <c r="S56" s="43">
        <f t="shared" si="5"/>
        <v>980.96399999999994</v>
      </c>
    </row>
    <row r="57" spans="1:19" ht="18.75">
      <c r="A57" s="38">
        <v>5</v>
      </c>
      <c r="B57" s="3" t="s">
        <v>25</v>
      </c>
      <c r="C57" s="12"/>
      <c r="D57" s="12">
        <v>2.2000000000000002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2">
        <v>817.47</v>
      </c>
      <c r="S57" s="43">
        <f t="shared" si="5"/>
        <v>980.96399999999994</v>
      </c>
    </row>
    <row r="58" spans="1:19" ht="18.75">
      <c r="A58" s="38">
        <v>6</v>
      </c>
      <c r="B58" s="3" t="s">
        <v>27</v>
      </c>
      <c r="C58" s="12"/>
      <c r="D58" s="12">
        <v>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4">
        <v>1301.74</v>
      </c>
      <c r="S58" s="43">
        <f t="shared" si="5"/>
        <v>1562.088</v>
      </c>
    </row>
    <row r="59" spans="1:19" ht="18.75">
      <c r="A59" s="38">
        <v>7</v>
      </c>
      <c r="B59" s="3" t="s">
        <v>26</v>
      </c>
      <c r="C59" s="12"/>
      <c r="D59" s="12">
        <v>3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4">
        <v>1340.86</v>
      </c>
      <c r="S59" s="43">
        <f t="shared" si="5"/>
        <v>1609.0319999999999</v>
      </c>
    </row>
    <row r="60" spans="1:19" ht="18.75">
      <c r="A60" s="38">
        <v>8</v>
      </c>
      <c r="B60" s="3" t="s">
        <v>30</v>
      </c>
      <c r="C60" s="12"/>
      <c r="D60" s="12">
        <v>54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4">
        <v>20121.82</v>
      </c>
      <c r="S60" s="43">
        <f t="shared" si="5"/>
        <v>24146.183999999997</v>
      </c>
    </row>
    <row r="61" spans="1:19" ht="18.75">
      <c r="A61" s="38">
        <v>9</v>
      </c>
      <c r="B61" s="3" t="s">
        <v>29</v>
      </c>
      <c r="C61" s="12"/>
      <c r="D61" s="12">
        <v>65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4">
        <v>22361.54</v>
      </c>
      <c r="S61" s="43">
        <f t="shared" si="5"/>
        <v>26833.848000000002</v>
      </c>
    </row>
    <row r="62" spans="1:19" ht="18.75">
      <c r="A62" s="38">
        <v>10</v>
      </c>
      <c r="B62" s="3" t="s">
        <v>24</v>
      </c>
      <c r="C62" s="12"/>
      <c r="D62" s="12">
        <v>80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4">
        <v>28358.720000000001</v>
      </c>
      <c r="S62" s="43">
        <f t="shared" si="5"/>
        <v>34030.464</v>
      </c>
    </row>
    <row r="63" spans="1:19" ht="18.75">
      <c r="A63" s="38">
        <v>11</v>
      </c>
      <c r="B63" s="3" t="s">
        <v>28</v>
      </c>
      <c r="C63" s="12"/>
      <c r="D63" s="12">
        <v>35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4">
        <v>13672.1</v>
      </c>
      <c r="S63" s="43">
        <f t="shared" si="5"/>
        <v>16406.52</v>
      </c>
    </row>
    <row r="64" spans="1:19" ht="18.75">
      <c r="A64" s="38">
        <v>12</v>
      </c>
      <c r="B64" s="3" t="s">
        <v>39</v>
      </c>
      <c r="C64" s="12"/>
      <c r="D64" s="12">
        <v>130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4">
        <v>77049.850000000006</v>
      </c>
      <c r="S64" s="43">
        <f t="shared" si="5"/>
        <v>92459.82</v>
      </c>
    </row>
    <row r="65" spans="1:19" ht="18.75">
      <c r="A65" s="38">
        <v>13</v>
      </c>
      <c r="B65" s="3" t="s">
        <v>32</v>
      </c>
      <c r="C65" s="12"/>
      <c r="D65" s="1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4">
        <v>7192.02</v>
      </c>
      <c r="S65" s="43">
        <f t="shared" si="5"/>
        <v>8630.4240000000009</v>
      </c>
    </row>
    <row r="66" spans="1:19" ht="18.75">
      <c r="A66" s="38">
        <v>14</v>
      </c>
      <c r="B66" s="3" t="s">
        <v>33</v>
      </c>
      <c r="C66" s="12"/>
      <c r="D66" s="12">
        <v>3.67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4">
        <v>8561.15</v>
      </c>
      <c r="S66" s="43">
        <f t="shared" si="5"/>
        <v>10273.379999999999</v>
      </c>
    </row>
    <row r="67" spans="1:19" ht="18" customHeight="1">
      <c r="A67" s="38">
        <v>15</v>
      </c>
      <c r="B67" s="3" t="s">
        <v>36</v>
      </c>
      <c r="C67" s="12"/>
      <c r="D67" s="12">
        <v>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4">
        <v>2730.35</v>
      </c>
      <c r="S67" s="43">
        <f t="shared" si="5"/>
        <v>3276.4199999999996</v>
      </c>
    </row>
    <row r="68" spans="1:19" ht="18.75">
      <c r="A68" s="38">
        <v>16</v>
      </c>
      <c r="B68" s="3" t="s">
        <v>37</v>
      </c>
      <c r="C68" s="12"/>
      <c r="D68" s="12">
        <v>2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4">
        <v>2612.4</v>
      </c>
      <c r="S68" s="43">
        <f t="shared" si="5"/>
        <v>3134.88</v>
      </c>
    </row>
    <row r="69" spans="1:19" ht="18.75">
      <c r="A69" s="38">
        <v>17</v>
      </c>
      <c r="B69" s="3" t="s">
        <v>12</v>
      </c>
      <c r="C69" s="12"/>
      <c r="D69" s="1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2">
        <v>89.11</v>
      </c>
      <c r="S69" s="43">
        <f t="shared" si="5"/>
        <v>106.932</v>
      </c>
    </row>
    <row r="70" spans="1:19" ht="18.75">
      <c r="A70" s="38">
        <v>18</v>
      </c>
      <c r="B70" s="3" t="s">
        <v>13</v>
      </c>
      <c r="C70" s="12"/>
      <c r="D70" s="1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2">
        <v>68.2</v>
      </c>
      <c r="S70" s="43">
        <f t="shared" si="5"/>
        <v>81.84</v>
      </c>
    </row>
    <row r="71" spans="1:19" ht="18.75">
      <c r="A71" s="38">
        <v>19</v>
      </c>
      <c r="B71" s="3" t="s">
        <v>14</v>
      </c>
      <c r="C71" s="12"/>
      <c r="D71" s="1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2">
        <v>35.92</v>
      </c>
      <c r="S71" s="43">
        <f t="shared" si="5"/>
        <v>43.103999999999999</v>
      </c>
    </row>
    <row r="72" spans="1:19" ht="19.5" thickBot="1">
      <c r="A72" s="40">
        <v>20</v>
      </c>
      <c r="B72" s="41" t="s">
        <v>15</v>
      </c>
      <c r="C72" s="42"/>
      <c r="D72" s="42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2">
        <v>29.25</v>
      </c>
      <c r="S72" s="43">
        <f t="shared" si="5"/>
        <v>35.1</v>
      </c>
    </row>
    <row r="73" spans="1:19" ht="18.75">
      <c r="A73" s="4"/>
      <c r="C73" s="4"/>
      <c r="D73" s="4"/>
    </row>
    <row r="74" spans="1:19" ht="22.5">
      <c r="A74" s="2"/>
      <c r="B74" s="21" t="s">
        <v>98</v>
      </c>
      <c r="C74" s="2"/>
      <c r="D74" s="2"/>
    </row>
    <row r="75" spans="1:19" ht="28.5" customHeight="1"/>
    <row r="76" spans="1:19" ht="2.25" customHeight="1"/>
    <row r="77" spans="1:19" ht="18.75">
      <c r="B77" s="4" t="s">
        <v>62</v>
      </c>
    </row>
    <row r="78" spans="1:19" ht="18.75">
      <c r="B78" s="4" t="s">
        <v>99</v>
      </c>
    </row>
    <row r="79" spans="1:19" ht="18.75">
      <c r="B79" s="4" t="s">
        <v>56</v>
      </c>
    </row>
  </sheetData>
  <mergeCells count="17">
    <mergeCell ref="A36:S36"/>
    <mergeCell ref="A45:S45"/>
    <mergeCell ref="A52:S52"/>
    <mergeCell ref="A40:S40"/>
    <mergeCell ref="A42:S42"/>
    <mergeCell ref="A1:D1"/>
    <mergeCell ref="S4:S5"/>
    <mergeCell ref="A6:S6"/>
    <mergeCell ref="A15:S15"/>
    <mergeCell ref="A23:S23"/>
    <mergeCell ref="A2:R2"/>
    <mergeCell ref="A3:D3"/>
    <mergeCell ref="B4:B5"/>
    <mergeCell ref="A4:A5"/>
    <mergeCell ref="R4:R5"/>
    <mergeCell ref="D4:D5"/>
    <mergeCell ref="C4:C5"/>
  </mergeCells>
  <pageMargins left="0.82677165354330717" right="0" top="0.19685039370078741" bottom="0" header="0.31496062992125984" footer="0.31496062992125984"/>
  <pageSetup paperSize="9" scale="4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от 01.03.2020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2020-03-04T08:31:32Z</dcterms:modified>
</cp:coreProperties>
</file>